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7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blomiraaguilar/Desktop/RECURSOS SESIÓN INDEXADOS/PARA ALUMNOS/"/>
    </mc:Choice>
  </mc:AlternateContent>
  <xr:revisionPtr revIDLastSave="0" documentId="13_ncr:1_{45D1D4ED-448A-1848-BAA1-0A61F8F26545}" xr6:coauthVersionLast="47" xr6:coauthVersionMax="47" xr10:uidLastSave="{00000000-0000-0000-0000-000000000000}"/>
  <bookViews>
    <workbookView xWindow="31860" yWindow="360" windowWidth="32820" windowHeight="17700" xr2:uid="{3E1EB74F-8843-4E43-9A3C-5EECA65663A6}"/>
  </bookViews>
  <sheets>
    <sheet name="CARTERA PRO" sheetId="1" r:id="rId1"/>
    <sheet name="CARTERA BASIC" sheetId="3" r:id="rId2"/>
    <sheet name="Carteras index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0" i="1" l="1"/>
  <c r="O9" i="1"/>
  <c r="O11" i="3"/>
  <c r="O21" i="1"/>
  <c r="O15" i="1"/>
  <c r="N11" i="1"/>
  <c r="N13" i="1"/>
  <c r="N9" i="1"/>
  <c r="N15" i="1"/>
  <c r="N11" i="3"/>
  <c r="E10" i="3"/>
  <c r="G10" i="3" s="1"/>
  <c r="E9" i="3"/>
  <c r="G9" i="3" s="1"/>
  <c r="E20" i="1"/>
  <c r="F20" i="1" s="1"/>
  <c r="P20" i="1" s="1"/>
  <c r="E19" i="1"/>
  <c r="F19" i="1" s="1"/>
  <c r="P19" i="1" s="1"/>
  <c r="E18" i="1"/>
  <c r="F18" i="1" s="1"/>
  <c r="P18" i="1" s="1"/>
  <c r="E17" i="1"/>
  <c r="F17" i="1" s="1"/>
  <c r="P17" i="1" s="1"/>
  <c r="E16" i="1"/>
  <c r="F16" i="1" s="1"/>
  <c r="P16" i="1" s="1"/>
  <c r="E15" i="1"/>
  <c r="F15" i="1" s="1"/>
  <c r="E14" i="1"/>
  <c r="F14" i="1" s="1"/>
  <c r="O14" i="1" s="1"/>
  <c r="P14" i="1" s="1"/>
  <c r="E13" i="1"/>
  <c r="F13" i="1" s="1"/>
  <c r="O13" i="1" s="1"/>
  <c r="P13" i="1" s="1"/>
  <c r="E12" i="1"/>
  <c r="F12" i="1" s="1"/>
  <c r="O12" i="1" s="1"/>
  <c r="P12" i="1" s="1"/>
  <c r="E11" i="1"/>
  <c r="F11" i="1" s="1"/>
  <c r="E10" i="1"/>
  <c r="F10" i="1" s="1"/>
  <c r="P10" i="1" s="1"/>
  <c r="E9" i="1"/>
  <c r="F9" i="1" s="1"/>
  <c r="P15" i="1" l="1"/>
  <c r="F21" i="1"/>
  <c r="O11" i="1"/>
  <c r="P11" i="1" s="1"/>
  <c r="N21" i="1"/>
  <c r="P9" i="1"/>
  <c r="F9" i="3"/>
  <c r="O9" i="3" s="1"/>
  <c r="P9" i="3" s="1"/>
  <c r="F10" i="3"/>
  <c r="G15" i="1"/>
  <c r="G14" i="1"/>
  <c r="G12" i="1"/>
  <c r="G17" i="1"/>
  <c r="G16" i="1"/>
  <c r="G9" i="1"/>
  <c r="G13" i="1"/>
  <c r="G20" i="1"/>
  <c r="G19" i="1"/>
  <c r="G11" i="1"/>
  <c r="G18" i="1"/>
  <c r="G10" i="1"/>
  <c r="P21" i="1" l="1"/>
  <c r="O10" i="3"/>
  <c r="P10" i="3" s="1"/>
  <c r="F11" i="3"/>
  <c r="P11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Microsoft Office User</author>
  </authors>
  <commentList>
    <comment ref="E5" authorId="0" shapeId="0" xr:uid="{3AF6FD21-D514-C149-841A-D6C3BE0938FE}">
      <text>
        <r>
          <rPr>
            <b/>
            <sz val="10"/>
            <color rgb="FF000000"/>
            <rFont val="Tahoma"/>
            <family val="2"/>
          </rPr>
          <t xml:space="preserve">Tendremos que ir actualizándolo periódicamente añadiendo las aportaciones adicionales que hayamos hecho. 
</t>
        </r>
        <r>
          <rPr>
            <sz val="10"/>
            <color rgb="FF000000"/>
            <rFont val="Tahoma"/>
            <family val="2"/>
          </rPr>
          <t xml:space="preserve">
</t>
        </r>
      </text>
    </comment>
    <comment ref="N8" authorId="0" shapeId="0" xr:uid="{61D0CE14-54E3-5B40-B656-6B6319375C1E}">
      <text>
        <r>
          <rPr>
            <b/>
            <sz val="10"/>
            <color rgb="FF000000"/>
            <rFont val="Tahoma"/>
            <family val="2"/>
          </rPr>
          <t xml:space="preserve">Actualizamos manualmente el valor del fondo para ver su resultado sobre lo invertido
</t>
        </r>
        <r>
          <rPr>
            <sz val="10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<sst xmlns="http://schemas.openxmlformats.org/spreadsheetml/2006/main" count="96" uniqueCount="56">
  <si>
    <t>CLASE DE ACTIVO \ PLAN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</si>
  <si>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</si>
  <si>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</si>
  <si>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</si>
  <si>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</si>
  <si>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</si>
  <si>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</si>
  <si>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</si>
  <si>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</si>
  <si>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</si>
  <si>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</si>
  <si>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Total acciones (%)</t>
  </si>
  <si>
    <t>Acciones Europa (%)</t>
  </si>
  <si>
    <t>Acciones Estados Unidos (%)</t>
  </si>
  <si>
    <t>Acciones economías emergentes (%)</t>
  </si>
  <si>
    <t>Acciones Japón (%)</t>
  </si>
  <si>
    <t>Acciones globales pequeña capitalización (%)</t>
  </si>
  <si>
    <t>Total bonos (%)</t>
  </si>
  <si>
    <t>Bonos empresas europeas (%)</t>
  </si>
  <si>
    <t>Bonos gobiernos europeos (%)</t>
  </si>
  <si>
    <t>Bonos europeos ligados a la inflación (%)</t>
  </si>
  <si>
    <t>Bonos gobierno EEUU cubierto a Euro (%)</t>
  </si>
  <si>
    <t>Bonos empresas EEUU cubierto a Euro (%)</t>
  </si>
  <si>
    <t>Pronóstico de rentabilidad (% anual)</t>
  </si>
  <si>
    <t>CARTERA</t>
  </si>
  <si>
    <t>PERFIL</t>
  </si>
  <si>
    <t>INDEXA</t>
  </si>
  <si>
    <t>A mayor número + riesgo y + prevision de rentabilidad</t>
  </si>
  <si>
    <t>TOTAL INVERTIDO</t>
  </si>
  <si>
    <t>APORTACIÓN PERIODICA</t>
  </si>
  <si>
    <t>BANCO INVERSIÓN</t>
  </si>
  <si>
    <t>ISIN</t>
  </si>
  <si>
    <t>NOMBRE DEL FONDO o PRODUCTO</t>
  </si>
  <si>
    <t>RESULTADO</t>
  </si>
  <si>
    <t>iShares Developed World Index Fund D Acc</t>
  </si>
  <si>
    <t>IE00BD0NCM55</t>
  </si>
  <si>
    <t>TER</t>
  </si>
  <si>
    <t>IE0007987708</t>
  </si>
  <si>
    <t xml:space="preserve">Vanguard European Stock Index Fund </t>
  </si>
  <si>
    <t>IE00BYX5MX67</t>
  </si>
  <si>
    <t>Fidelity S&amp;P 500 Index Fund P-ACC-EUR</t>
  </si>
  <si>
    <t>IE00BYWYCC39</t>
  </si>
  <si>
    <t>iShares Emerging Markets Index Fund D Acc</t>
  </si>
  <si>
    <t>IE00BYX5N771</t>
  </si>
  <si>
    <t xml:space="preserve">Fidelity MSCI Japan Index Fund </t>
  </si>
  <si>
    <t>IE00B42W4L06</t>
  </si>
  <si>
    <t xml:space="preserve">Vanguard Global Small-Cap Index Fund </t>
  </si>
  <si>
    <t>%</t>
  </si>
  <si>
    <t>MY INVESTOR</t>
  </si>
  <si>
    <t xml:space="preserve"> MY INVESTOR </t>
  </si>
  <si>
    <t>IE00BH65QP47</t>
  </si>
  <si>
    <t>TOTAL</t>
  </si>
  <si>
    <t>Vanguard Global Short-Term Bond Index Fund EUR Hedged Acc</t>
  </si>
  <si>
    <t>VALOR ACTUAL</t>
  </si>
  <si>
    <t>DISTRIBUCIÓN APORTACIÓN EN €</t>
  </si>
  <si>
    <t>A mayor número + riesgo y +  rentabilidad esperada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</si>
</sst>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333333"/>
      <name val="Helvetica Neue"/>
      <family val="2"/>
    </font>
    <font>
      <sz val="12"/>
      <color rgb="FF333333"/>
      <name val="Helvetica Neue"/>
      <family val="2"/>
    </font>
    <font>
      <sz val="12"/>
      <color rgb="FF777777"/>
      <name val="Helvetica Neue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4" fillId="0" borderId="0" xfId="0" applyFont="1"/>
    <xf numFmtId="0" fontId="5" fillId="0" borderId="0" xfId="0" applyFont="1"/>
    <xf numFmtId="9" fontId="4" fillId="0" borderId="0" xfId="2" applyFont="1"/>
    <xf numFmtId="9" fontId="5" fillId="0" borderId="0" xfId="2" applyFont="1"/>
    <xf numFmtId="9" fontId="6" fillId="0" borderId="0" xfId="2" applyFont="1"/>
    <xf numFmtId="9" fontId="0" fillId="0" borderId="0" xfId="2" applyFont="1"/>
    <xf numFmtId="0" fontId="2" fillId="3" borderId="1" xfId="0" applyFont="1" applyFill="1" applyBorder="1"/>
    <xf numFmtId="0" fontId="4" fillId="2" borderId="1" xfId="0" applyFont="1" applyFill="1" applyBorder="1"/>
    <xf numFmtId="9" fontId="0" fillId="2" borderId="1" xfId="2" applyFont="1" applyFill="1" applyBorder="1"/>
    <xf numFmtId="0" fontId="5" fillId="0" borderId="1" xfId="0" applyFont="1" applyBorder="1"/>
    <xf numFmtId="9" fontId="0" fillId="0" borderId="1" xfId="2" applyFont="1" applyBorder="1"/>
    <xf numFmtId="43" fontId="0" fillId="2" borderId="1" xfId="1" applyFont="1" applyFill="1" applyBorder="1"/>
    <xf numFmtId="43" fontId="0" fillId="0" borderId="1" xfId="1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43" fontId="0" fillId="2" borderId="0" xfId="1" applyFont="1" applyFill="1" applyBorder="1"/>
    <xf numFmtId="43" fontId="0" fillId="2" borderId="4" xfId="1" applyFont="1" applyFill="1" applyBorder="1"/>
    <xf numFmtId="43" fontId="0" fillId="5" borderId="0" xfId="1" applyFont="1" applyFill="1" applyBorder="1"/>
    <xf numFmtId="0" fontId="0" fillId="0" borderId="0" xfId="0" applyAlignment="1">
      <alignment horizontal="right"/>
    </xf>
    <xf numFmtId="0" fontId="0" fillId="4" borderId="1" xfId="0" applyFill="1" applyBorder="1" applyAlignment="1">
      <alignment horizontal="right"/>
    </xf>
    <xf numFmtId="9" fontId="3" fillId="0" borderId="0" xfId="2" applyFont="1" applyAlignment="1">
      <alignment horizontal="center"/>
    </xf>
    <xf numFmtId="9" fontId="0" fillId="5" borderId="0" xfId="2" applyFont="1" applyFill="1" applyBorder="1"/>
    <xf numFmtId="43" fontId="0" fillId="0" borderId="0" xfId="0" applyNumberFormat="1"/>
    <xf numFmtId="9" fontId="0" fillId="0" borderId="6" xfId="2" applyFont="1" applyBorder="1"/>
    <xf numFmtId="43" fontId="0" fillId="0" borderId="6" xfId="1" applyFont="1" applyBorder="1"/>
    <xf numFmtId="43" fontId="0" fillId="0" borderId="3" xfId="0" applyNumberFormat="1" applyBorder="1"/>
    <xf numFmtId="0" fontId="3" fillId="0" borderId="2" xfId="0" applyFont="1" applyBorder="1"/>
    <xf numFmtId="0" fontId="4" fillId="6" borderId="1" xfId="0" applyFont="1" applyFill="1" applyBorder="1"/>
    <xf numFmtId="9" fontId="0" fillId="6" borderId="1" xfId="2" applyFont="1" applyFill="1" applyBorder="1"/>
    <xf numFmtId="43" fontId="0" fillId="6" borderId="1" xfId="1" applyFont="1" applyFill="1" applyBorder="1"/>
    <xf numFmtId="43" fontId="0" fillId="6" borderId="4" xfId="1" applyFont="1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right"/>
    </xf>
  </cellXfs>
  <cellStyles count="3">
    <cellStyle name="Millares" xfId="1" builtinId="3"/>
    <cellStyle name="Normal" xfId="0" builtinId="0"/>
    <cellStyle name="Porcentaje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871555-2BFC-FD40-A097-A881E825ED3C}">
  <sheetPr>
    <tabColor theme="7" tint="0.59999389629810485"/>
  </sheetPr>
  <dimension ref="D2:P21"/>
  <sheetViews>
    <sheetView showGridLines="0" tabSelected="1" topLeftCell="D6" zoomScale="110" zoomScaleNormal="110" workbookViewId="0">
      <selection activeCell="O20" sqref="O20"/>
    </sheetView>
  </sheetViews>
  <sheetFormatPr baseColWidth="10" defaultRowHeight="26" customHeight="1" x14ac:dyDescent="0.2"/>
  <cols>
    <col min="4" max="4" width="43.1640625" bestFit="1" customWidth="1"/>
    <col min="5" max="5" width="15.6640625" customWidth="1"/>
    <col min="6" max="6" width="24" customWidth="1"/>
    <col min="7" max="7" width="20.33203125" customWidth="1"/>
    <col min="8" max="8" width="6.6640625" customWidth="1"/>
    <col min="9" max="9" width="15.1640625" bestFit="1" customWidth="1"/>
    <col min="10" max="10" width="38.1640625" bestFit="1" customWidth="1"/>
    <col min="11" max="11" width="15.33203125" bestFit="1" customWidth="1"/>
    <col min="13" max="13" width="10" customWidth="1"/>
    <col min="14" max="14" width="19.1640625" customWidth="1"/>
    <col min="15" max="15" width="12" customWidth="1"/>
    <col min="16" max="16" width="8.83203125" style="6" customWidth="1"/>
  </cols>
  <sheetData>
    <row r="2" spans="4:16" ht="26" customHeight="1" x14ac:dyDescent="0.2">
      <c r="E2" s="19"/>
    </row>
    <row r="3" spans="4:16" ht="26" customHeight="1" x14ac:dyDescent="0.2">
      <c r="D3" s="7" t="s">
        <v>24</v>
      </c>
      <c r="E3" s="20" t="s">
        <v>26</v>
      </c>
    </row>
    <row r="4" spans="4:16" ht="26" customHeight="1" x14ac:dyDescent="0.2">
      <c r="D4" s="7" t="s">
        <v>25</v>
      </c>
      <c r="E4" s="20" t="s">
        <v>5</v>
      </c>
      <c r="F4" t="s">
        <v>55</v>
      </c>
    </row>
    <row r="5" spans="4:16" ht="26" customHeight="1" x14ac:dyDescent="0.2">
      <c r="D5" s="7" t="s">
        <v>28</v>
      </c>
      <c r="E5" s="20">
        <v>10000</v>
      </c>
    </row>
    <row r="6" spans="4:16" ht="26" customHeight="1" x14ac:dyDescent="0.2">
      <c r="D6" s="7" t="s">
        <v>29</v>
      </c>
      <c r="E6" s="20">
        <v>100</v>
      </c>
    </row>
    <row r="7" spans="4:16" ht="26" customHeight="1" x14ac:dyDescent="0.2">
      <c r="E7" s="19"/>
    </row>
    <row r="8" spans="4:16" ht="66" customHeight="1" x14ac:dyDescent="0.2">
      <c r="F8" s="14" t="s">
        <v>28</v>
      </c>
      <c r="G8" s="15" t="s">
        <v>54</v>
      </c>
      <c r="I8" s="15" t="s">
        <v>30</v>
      </c>
      <c r="J8" s="15" t="s">
        <v>32</v>
      </c>
      <c r="K8" s="14" t="s">
        <v>31</v>
      </c>
      <c r="L8" s="14" t="s">
        <v>36</v>
      </c>
      <c r="N8" s="14" t="s">
        <v>53</v>
      </c>
      <c r="O8" s="14" t="s">
        <v>33</v>
      </c>
      <c r="P8" s="21" t="s">
        <v>47</v>
      </c>
    </row>
    <row r="9" spans="4:16" ht="26" customHeight="1" x14ac:dyDescent="0.2">
      <c r="D9" s="8" t="s">
        <v>11</v>
      </c>
      <c r="E9" s="9">
        <f>HLOOKUP($E$4,'Carteras indexa'!$D$6:$M$19,2,FALSE)</f>
        <v>0.45</v>
      </c>
      <c r="F9" s="12">
        <f>$E$5*E9</f>
        <v>4500</v>
      </c>
      <c r="G9" s="12">
        <f>$E$6*E9</f>
        <v>45</v>
      </c>
      <c r="I9" s="12"/>
      <c r="J9" s="12"/>
      <c r="K9" s="12"/>
      <c r="L9" s="12"/>
      <c r="N9" s="17">
        <f>SUM(N10:N14)</f>
        <v>4920</v>
      </c>
      <c r="O9" s="16">
        <f>N9-F9</f>
        <v>420</v>
      </c>
      <c r="P9" s="22">
        <f t="shared" ref="P9:P15" si="0">(O9/F9)</f>
        <v>9.3333333333333338E-2</v>
      </c>
    </row>
    <row r="10" spans="4:16" ht="26" customHeight="1" x14ac:dyDescent="0.2">
      <c r="D10" s="10" t="s">
        <v>12</v>
      </c>
      <c r="E10" s="11">
        <f>HLOOKUP($E$4,'Carteras indexa'!$D$6:$M$19,3,FALSE)</f>
        <v>0.1</v>
      </c>
      <c r="F10" s="13">
        <f t="shared" ref="F10:F20" si="1">$E$5*E10</f>
        <v>1000</v>
      </c>
      <c r="G10" s="13">
        <f t="shared" ref="G10:G20" si="2">$E$6*E10</f>
        <v>10</v>
      </c>
      <c r="I10" s="13" t="s">
        <v>48</v>
      </c>
      <c r="J10" s="13" t="s">
        <v>38</v>
      </c>
      <c r="K10" s="13" t="s">
        <v>37</v>
      </c>
      <c r="L10" s="13">
        <v>0.12</v>
      </c>
      <c r="N10" s="13">
        <v>1200</v>
      </c>
      <c r="O10" s="18">
        <f>N10-F10</f>
        <v>200</v>
      </c>
      <c r="P10" s="22">
        <f t="shared" si="0"/>
        <v>0.2</v>
      </c>
    </row>
    <row r="11" spans="4:16" ht="26" customHeight="1" x14ac:dyDescent="0.2">
      <c r="D11" s="10" t="s">
        <v>13</v>
      </c>
      <c r="E11" s="11">
        <f>HLOOKUP($E$4,'Carteras indexa'!$D$6:$M$19,4,FALSE)</f>
        <v>0.2</v>
      </c>
      <c r="F11" s="13">
        <f t="shared" si="1"/>
        <v>2000</v>
      </c>
      <c r="G11" s="13">
        <f t="shared" si="2"/>
        <v>20</v>
      </c>
      <c r="I11" s="13" t="s">
        <v>48</v>
      </c>
      <c r="J11" s="13" t="s">
        <v>40</v>
      </c>
      <c r="K11" s="13" t="s">
        <v>39</v>
      </c>
      <c r="L11" s="13">
        <v>0.06</v>
      </c>
      <c r="N11" s="13">
        <f>1500</f>
        <v>1500</v>
      </c>
      <c r="O11" s="18">
        <f t="shared" ref="O10:O15" si="3">N11-F11</f>
        <v>-500</v>
      </c>
      <c r="P11" s="22">
        <f t="shared" si="0"/>
        <v>-0.25</v>
      </c>
    </row>
    <row r="12" spans="4:16" ht="26" customHeight="1" x14ac:dyDescent="0.2">
      <c r="D12" s="10" t="s">
        <v>14</v>
      </c>
      <c r="E12" s="11">
        <f>HLOOKUP($E$4,'Carteras indexa'!$D$6:$M$19,5,FALSE)</f>
        <v>0.05</v>
      </c>
      <c r="F12" s="13">
        <f t="shared" si="1"/>
        <v>500</v>
      </c>
      <c r="G12" s="13">
        <f t="shared" si="2"/>
        <v>5</v>
      </c>
      <c r="I12" s="13" t="s">
        <v>48</v>
      </c>
      <c r="J12" s="13" t="s">
        <v>42</v>
      </c>
      <c r="K12" s="13" t="s">
        <v>41</v>
      </c>
      <c r="L12" s="13">
        <v>0.2</v>
      </c>
      <c r="N12" s="13">
        <v>500</v>
      </c>
      <c r="O12" s="18">
        <f t="shared" si="3"/>
        <v>0</v>
      </c>
      <c r="P12" s="22">
        <f t="shared" si="0"/>
        <v>0</v>
      </c>
    </row>
    <row r="13" spans="4:16" ht="26" customHeight="1" x14ac:dyDescent="0.2">
      <c r="D13" s="10" t="s">
        <v>15</v>
      </c>
      <c r="E13" s="11">
        <f>HLOOKUP($E$4,'Carteras indexa'!$D$6:$M$19,6,FALSE)</f>
        <v>0.05</v>
      </c>
      <c r="F13" s="13">
        <f t="shared" si="1"/>
        <v>500</v>
      </c>
      <c r="G13" s="13">
        <f t="shared" si="2"/>
        <v>5</v>
      </c>
      <c r="I13" s="13" t="s">
        <v>48</v>
      </c>
      <c r="J13" s="13" t="s">
        <v>44</v>
      </c>
      <c r="K13" s="13" t="s">
        <v>43</v>
      </c>
      <c r="L13" s="13">
        <v>0.1</v>
      </c>
      <c r="N13" s="13">
        <f>1120</f>
        <v>1120</v>
      </c>
      <c r="O13" s="18">
        <f t="shared" si="3"/>
        <v>620</v>
      </c>
      <c r="P13" s="22">
        <f t="shared" si="0"/>
        <v>1.24</v>
      </c>
    </row>
    <row r="14" spans="4:16" ht="26" customHeight="1" x14ac:dyDescent="0.2">
      <c r="D14" s="10" t="s">
        <v>16</v>
      </c>
      <c r="E14" s="11">
        <f>HLOOKUP($E$4,'Carteras indexa'!$D$6:$M$19,7,FALSE)</f>
        <v>0.05</v>
      </c>
      <c r="F14" s="13">
        <f t="shared" si="1"/>
        <v>500</v>
      </c>
      <c r="G14" s="13">
        <f t="shared" si="2"/>
        <v>5</v>
      </c>
      <c r="I14" s="13" t="s">
        <v>48</v>
      </c>
      <c r="J14" s="13" t="s">
        <v>46</v>
      </c>
      <c r="K14" s="13" t="s">
        <v>45</v>
      </c>
      <c r="L14" s="13">
        <v>0.28999999999999998</v>
      </c>
      <c r="N14" s="13">
        <v>600</v>
      </c>
      <c r="O14" s="18">
        <f t="shared" si="3"/>
        <v>100</v>
      </c>
      <c r="P14" s="22">
        <f t="shared" si="0"/>
        <v>0.2</v>
      </c>
    </row>
    <row r="15" spans="4:16" ht="26" customHeight="1" x14ac:dyDescent="0.2">
      <c r="D15" s="8" t="s">
        <v>17</v>
      </c>
      <c r="E15" s="9">
        <f>HLOOKUP($E$4,'Carteras indexa'!$D$6:$M$19,8,FALSE)</f>
        <v>0.55000000000000004</v>
      </c>
      <c r="F15" s="12">
        <f t="shared" si="1"/>
        <v>5500</v>
      </c>
      <c r="G15" s="12">
        <f t="shared" si="2"/>
        <v>55.000000000000007</v>
      </c>
      <c r="I15" s="12" t="s">
        <v>49</v>
      </c>
      <c r="J15" s="12" t="s">
        <v>52</v>
      </c>
      <c r="K15" s="12" t="s">
        <v>50</v>
      </c>
      <c r="L15" s="12">
        <v>0.15</v>
      </c>
      <c r="N15" s="12">
        <f>6800</f>
        <v>6800</v>
      </c>
      <c r="O15" s="18">
        <f>N15-F15</f>
        <v>1300</v>
      </c>
      <c r="P15" s="22">
        <f t="shared" si="0"/>
        <v>0.23636363636363636</v>
      </c>
    </row>
    <row r="16" spans="4:16" ht="26" customHeight="1" x14ac:dyDescent="0.2">
      <c r="D16" s="10" t="s">
        <v>18</v>
      </c>
      <c r="E16" s="11">
        <f>HLOOKUP($E$4,'Carteras indexa'!$D$6:$M$19,9,FALSE)</f>
        <v>0.1</v>
      </c>
      <c r="F16" s="13">
        <f t="shared" si="1"/>
        <v>1000</v>
      </c>
      <c r="G16" s="13">
        <f t="shared" si="2"/>
        <v>10</v>
      </c>
      <c r="I16" s="13"/>
      <c r="J16" s="13"/>
      <c r="K16" s="13"/>
      <c r="L16" s="13"/>
      <c r="N16" s="13"/>
      <c r="O16" s="18"/>
      <c r="P16" s="22">
        <f t="shared" ref="P16:P21" si="4">O16/F16</f>
        <v>0</v>
      </c>
    </row>
    <row r="17" spans="4:16" ht="26" customHeight="1" x14ac:dyDescent="0.2">
      <c r="D17" s="10" t="s">
        <v>19</v>
      </c>
      <c r="E17" s="11">
        <f>HLOOKUP($E$4,'Carteras indexa'!$D$6:$M$19,10,FALSE)</f>
        <v>0.15</v>
      </c>
      <c r="F17" s="13">
        <f t="shared" si="1"/>
        <v>1500</v>
      </c>
      <c r="G17" s="13">
        <f t="shared" si="2"/>
        <v>15</v>
      </c>
      <c r="I17" s="13"/>
      <c r="J17" s="13"/>
      <c r="K17" s="13"/>
      <c r="L17" s="13"/>
      <c r="N17" s="13"/>
      <c r="O17" s="18"/>
      <c r="P17" s="22">
        <f t="shared" si="4"/>
        <v>0</v>
      </c>
    </row>
    <row r="18" spans="4:16" ht="26" customHeight="1" x14ac:dyDescent="0.2">
      <c r="D18" s="10" t="s">
        <v>20</v>
      </c>
      <c r="E18" s="11">
        <f>HLOOKUP($E$4,'Carteras indexa'!$D$6:$M$19,11,FALSE)</f>
        <v>0.05</v>
      </c>
      <c r="F18" s="13">
        <f t="shared" si="1"/>
        <v>500</v>
      </c>
      <c r="G18" s="13">
        <f t="shared" si="2"/>
        <v>5</v>
      </c>
      <c r="I18" s="13"/>
      <c r="J18" s="13"/>
      <c r="K18" s="13"/>
      <c r="L18" s="13"/>
      <c r="N18" s="13"/>
      <c r="O18" s="18"/>
      <c r="P18" s="22">
        <f t="shared" si="4"/>
        <v>0</v>
      </c>
    </row>
    <row r="19" spans="4:16" ht="26" customHeight="1" x14ac:dyDescent="0.2">
      <c r="D19" s="10" t="s">
        <v>21</v>
      </c>
      <c r="E19" s="11">
        <f>HLOOKUP($E$4,'Carteras indexa'!$D$6:$M$19,12,FALSE)</f>
        <v>0.15</v>
      </c>
      <c r="F19" s="13">
        <f t="shared" si="1"/>
        <v>1500</v>
      </c>
      <c r="G19" s="13">
        <f t="shared" si="2"/>
        <v>15</v>
      </c>
      <c r="I19" s="13"/>
      <c r="J19" s="13"/>
      <c r="K19" s="13"/>
      <c r="L19" s="13"/>
      <c r="N19" s="13"/>
      <c r="O19" s="18"/>
      <c r="P19" s="22">
        <f t="shared" si="4"/>
        <v>0</v>
      </c>
    </row>
    <row r="20" spans="4:16" ht="26" customHeight="1" thickBot="1" x14ac:dyDescent="0.25">
      <c r="D20" s="10" t="s">
        <v>22</v>
      </c>
      <c r="E20" s="24">
        <f>HLOOKUP($E$4,'Carteras indexa'!$D$6:$M$19,13,FALSE)</f>
        <v>0.1</v>
      </c>
      <c r="F20" s="25">
        <f t="shared" si="1"/>
        <v>1000</v>
      </c>
      <c r="G20" s="13">
        <f t="shared" si="2"/>
        <v>10</v>
      </c>
      <c r="I20" s="13"/>
      <c r="J20" s="13"/>
      <c r="K20" s="13"/>
      <c r="L20" s="13"/>
      <c r="N20" s="13"/>
      <c r="O20" s="18"/>
      <c r="P20" s="22">
        <f t="shared" si="4"/>
        <v>0</v>
      </c>
    </row>
    <row r="21" spans="4:16" ht="26" customHeight="1" thickBot="1" x14ac:dyDescent="0.25">
      <c r="E21" s="27" t="s">
        <v>28</v>
      </c>
      <c r="F21" s="26">
        <f>SUM(F15+F9)</f>
        <v>10000</v>
      </c>
      <c r="L21" s="32" t="s">
        <v>51</v>
      </c>
      <c r="M21" s="33"/>
      <c r="N21" s="17">
        <f>N9+N15</f>
        <v>11720</v>
      </c>
      <c r="O21" s="16">
        <f>SUM(O10:O20)</f>
        <v>1720</v>
      </c>
      <c r="P21" s="22">
        <f t="shared" si="4"/>
        <v>0.17199999999999999</v>
      </c>
    </row>
  </sheetData>
  <mergeCells count="1">
    <mergeCell ref="L21:M21"/>
  </mergeCells>
  <conditionalFormatting sqref="O9:O21">
    <cfRule type="expression" dxfId="3" priority="1">
      <formula>O9&gt;0</formula>
    </cfRule>
    <cfRule type="expression" dxfId="2" priority="2">
      <formula>O9&lt;0</formula>
    </cfRule>
  </conditionalFormatting>
  <pageMargins left="0.7" right="0.7" top="0.75" bottom="0.75" header="0.3" footer="0.3"/>
  <legacyDrawing r:id="rId1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xr:uid="{C0F87F34-8D99-A243-A2B4-C2EBD7BC8019}">
          <x14:formula1>
            <xm:f>'Carteras indexa'!$D$6:$M$6</xm:f>
          </x14:formula1>
          <xm:sqref>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4403C-E445-1944-80C5-2C0F061A336C}">
  <sheetPr>
    <tabColor theme="7" tint="0.79998168889431442"/>
  </sheetPr>
  <dimension ref="D2:P11"/>
  <sheetViews>
    <sheetView showGridLines="0" zoomScaleNormal="100" workbookViewId="0">
      <selection activeCell="O12" sqref="O12"/>
    </sheetView>
  </sheetViews>
  <sheetFormatPr baseColWidth="10" defaultRowHeight="26" customHeight="1" x14ac:dyDescent="0.2"/>
  <cols>
    <col min="4" max="4" width="33.6640625" customWidth="1"/>
    <col min="5" max="5" width="14.5" customWidth="1"/>
    <col min="6" max="6" width="24" customWidth="1"/>
    <col min="7" max="7" width="18.83203125" customWidth="1"/>
    <col min="8" max="8" width="3.1640625" customWidth="1"/>
    <col min="9" max="9" width="15.1640625" bestFit="1" customWidth="1"/>
    <col min="10" max="10" width="47.83203125" customWidth="1"/>
    <col min="11" max="11" width="15.33203125" bestFit="1" customWidth="1"/>
    <col min="13" max="13" width="5.5" customWidth="1"/>
    <col min="14" max="14" width="16.1640625" customWidth="1"/>
    <col min="15" max="15" width="11.33203125" bestFit="1" customWidth="1"/>
    <col min="16" max="16" width="9" style="6" customWidth="1"/>
    <col min="17" max="17" width="9" customWidth="1"/>
  </cols>
  <sheetData>
    <row r="2" spans="4:16" ht="26" customHeight="1" x14ac:dyDescent="0.2">
      <c r="E2" s="19"/>
    </row>
    <row r="3" spans="4:16" ht="26" customHeight="1" x14ac:dyDescent="0.2">
      <c r="D3" s="7" t="s">
        <v>24</v>
      </c>
      <c r="E3" s="20" t="s">
        <v>26</v>
      </c>
    </row>
    <row r="4" spans="4:16" ht="26" customHeight="1" x14ac:dyDescent="0.2">
      <c r="D4" s="7" t="s">
        <v>25</v>
      </c>
      <c r="E4" s="20" t="s">
        <v>5</v>
      </c>
      <c r="F4" t="s">
        <v>27</v>
      </c>
    </row>
    <row r="5" spans="4:16" ht="26" customHeight="1" x14ac:dyDescent="0.2">
      <c r="D5" s="7" t="s">
        <v>28</v>
      </c>
      <c r="E5" s="20">
        <v>10000</v>
      </c>
    </row>
    <row r="6" spans="4:16" ht="26" customHeight="1" x14ac:dyDescent="0.2">
      <c r="D6" s="7" t="s">
        <v>29</v>
      </c>
      <c r="E6" s="20">
        <v>100</v>
      </c>
    </row>
    <row r="7" spans="4:16" ht="26" customHeight="1" x14ac:dyDescent="0.2">
      <c r="E7" s="19"/>
    </row>
    <row r="8" spans="4:16" ht="66" customHeight="1" x14ac:dyDescent="0.2">
      <c r="F8" s="14" t="s">
        <v>28</v>
      </c>
      <c r="G8" s="15" t="s">
        <v>54</v>
      </c>
      <c r="I8" s="15" t="s">
        <v>30</v>
      </c>
      <c r="J8" s="15" t="s">
        <v>32</v>
      </c>
      <c r="K8" s="14" t="s">
        <v>31</v>
      </c>
      <c r="L8" s="14" t="s">
        <v>36</v>
      </c>
      <c r="N8" s="14" t="s">
        <v>53</v>
      </c>
      <c r="O8" s="14" t="s">
        <v>33</v>
      </c>
      <c r="P8" s="21" t="s">
        <v>47</v>
      </c>
    </row>
    <row r="9" spans="4:16" ht="26" customHeight="1" x14ac:dyDescent="0.2">
      <c r="D9" s="28" t="s">
        <v>11</v>
      </c>
      <c r="E9" s="29">
        <f>HLOOKUP($E$4,'Carteras indexa'!$D$6:$M$19,2,FALSE)</f>
        <v>0.45</v>
      </c>
      <c r="F9" s="30">
        <f>$E$5*E9</f>
        <v>4500</v>
      </c>
      <c r="G9" s="30">
        <f>$E$6*E9</f>
        <v>45</v>
      </c>
      <c r="I9" s="30" t="s">
        <v>49</v>
      </c>
      <c r="J9" s="30" t="s">
        <v>34</v>
      </c>
      <c r="K9" s="30" t="s">
        <v>35</v>
      </c>
      <c r="L9" s="30">
        <v>0.12</v>
      </c>
      <c r="N9" s="31">
        <v>5000</v>
      </c>
      <c r="O9" s="16">
        <f>N9-F9</f>
        <v>500</v>
      </c>
      <c r="P9" s="22">
        <f>(O9/F9)</f>
        <v>0.1111111111111111</v>
      </c>
    </row>
    <row r="10" spans="4:16" ht="26" customHeight="1" x14ac:dyDescent="0.2">
      <c r="D10" s="28" t="s">
        <v>17</v>
      </c>
      <c r="E10" s="29">
        <f>HLOOKUP($E$4,'Carteras indexa'!$D$6:$M$19,8,FALSE)</f>
        <v>0.55000000000000004</v>
      </c>
      <c r="F10" s="30">
        <f>$E$5*E10</f>
        <v>5500</v>
      </c>
      <c r="G10" s="30">
        <f>$E$6*E10</f>
        <v>55.000000000000007</v>
      </c>
      <c r="I10" s="30" t="s">
        <v>49</v>
      </c>
      <c r="J10" s="30" t="s">
        <v>52</v>
      </c>
      <c r="K10" s="30" t="s">
        <v>50</v>
      </c>
      <c r="L10" s="30">
        <v>0.15</v>
      </c>
      <c r="N10" s="30">
        <v>5500</v>
      </c>
      <c r="O10" s="18">
        <f>N10-F10</f>
        <v>0</v>
      </c>
      <c r="P10" s="22">
        <f>(O10/F10)</f>
        <v>0</v>
      </c>
    </row>
    <row r="11" spans="4:16" ht="26" customHeight="1" x14ac:dyDescent="0.2">
      <c r="F11" s="23">
        <f>SUM(F10+F9)</f>
        <v>10000</v>
      </c>
      <c r="N11" s="23">
        <f>SUM(N9:N10)</f>
        <v>10500</v>
      </c>
      <c r="O11" s="23">
        <f>SUM(O9:O10)</f>
        <v>500</v>
      </c>
      <c r="P11" s="22">
        <f>(O11/F11)</f>
        <v>0.05</v>
      </c>
    </row>
  </sheetData>
  <conditionalFormatting sqref="O9:O10">
    <cfRule type="expression" dxfId="1" priority="1">
      <formula>O9&gt;0</formula>
    </cfRule>
    <cfRule type="expression" dxfId="0" priority="2">
      <formula>O9&lt;0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C7B92BB-81E9-EE4D-9512-DC3BEF738A4E}">
          <x14:formula1>
            <xm:f>'Carteras indexa'!$D$6:$M$6</xm:f>
          </x14:formula1>
          <xm:sqref>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6309B7-1E9D-664C-9659-FD325F097440}">
  <dimension ref="C6:M35"/>
  <sheetViews>
    <sheetView workbookViewId="0">
      <selection activeCell="M7" sqref="C7:M7"/>
    </sheetView>
  </sheetViews>
  <sheetFormatPr baseColWidth="10" defaultRowHeight="16" x14ac:dyDescent="0.2"/>
  <cols>
    <col min="3" max="3" width="43.1640625" bestFit="1" customWidth="1"/>
    <col min="4" max="4" width="13.83203125" customWidth="1"/>
  </cols>
  <sheetData>
    <row r="6" spans="3:13" x14ac:dyDescent="0.2">
      <c r="C6" s="1" t="s">
        <v>0</v>
      </c>
      <c r="D6" s="1" t="s">
        <v>1</v>
      </c>
      <c r="E6" s="1" t="s">
        <v>2</v>
      </c>
      <c r="F6" s="1" t="s">
        <v>3</v>
      </c>
      <c r="G6" s="1" t="s">
        <v>4</v>
      </c>
      <c r="H6" s="1" t="s">
        <v>5</v>
      </c>
      <c r="I6" s="1" t="s">
        <v>6</v>
      </c>
      <c r="J6" s="1" t="s">
        <v>7</v>
      </c>
      <c r="K6" s="1" t="s">
        <v>8</v>
      </c>
      <c r="L6" s="1" t="s">
        <v>9</v>
      </c>
      <c r="M6" s="1" t="s">
        <v>10</v>
      </c>
    </row>
    <row r="7" spans="3:13" x14ac:dyDescent="0.2">
      <c r="C7" s="1" t="s">
        <v>11</v>
      </c>
      <c r="D7" s="3">
        <v>0.09</v>
      </c>
      <c r="E7" s="3">
        <v>0.18</v>
      </c>
      <c r="F7" s="3">
        <v>0.27</v>
      </c>
      <c r="G7" s="3">
        <v>0.36</v>
      </c>
      <c r="H7" s="3">
        <v>0.45</v>
      </c>
      <c r="I7" s="3">
        <v>0.54</v>
      </c>
      <c r="J7" s="3">
        <v>0.63</v>
      </c>
      <c r="K7" s="3">
        <v>0.72</v>
      </c>
      <c r="L7" s="3">
        <v>0.81</v>
      </c>
      <c r="M7" s="3">
        <v>0.9</v>
      </c>
    </row>
    <row r="8" spans="3:13" x14ac:dyDescent="0.2">
      <c r="C8" s="2" t="s">
        <v>12</v>
      </c>
      <c r="D8" s="4">
        <v>0.04</v>
      </c>
      <c r="E8" s="4">
        <v>7.0000000000000007E-2</v>
      </c>
      <c r="F8" s="4">
        <v>7.0000000000000007E-2</v>
      </c>
      <c r="G8" s="4">
        <v>0.09</v>
      </c>
      <c r="H8" s="4">
        <v>0.1</v>
      </c>
      <c r="I8" s="4">
        <v>0.12</v>
      </c>
      <c r="J8" s="4">
        <v>0.14000000000000001</v>
      </c>
      <c r="K8" s="4">
        <v>0.16</v>
      </c>
      <c r="L8" s="4">
        <v>0.19</v>
      </c>
      <c r="M8" s="4">
        <v>0.23</v>
      </c>
    </row>
    <row r="9" spans="3:13" x14ac:dyDescent="0.2">
      <c r="C9" s="2" t="s">
        <v>13</v>
      </c>
      <c r="D9" s="4">
        <v>0.05</v>
      </c>
      <c r="E9" s="4">
        <v>0.08</v>
      </c>
      <c r="F9" s="4">
        <v>0.11</v>
      </c>
      <c r="G9" s="4">
        <v>0.16</v>
      </c>
      <c r="H9" s="4">
        <v>0.2</v>
      </c>
      <c r="I9" s="4">
        <v>0.25</v>
      </c>
      <c r="J9" s="4">
        <v>0.28999999999999998</v>
      </c>
      <c r="K9" s="4">
        <v>0.33</v>
      </c>
      <c r="L9" s="4">
        <v>0.35</v>
      </c>
      <c r="M9" s="4">
        <v>0.35</v>
      </c>
    </row>
    <row r="10" spans="3:13" x14ac:dyDescent="0.2">
      <c r="C10" s="2" t="s">
        <v>14</v>
      </c>
      <c r="D10" s="5">
        <v>0</v>
      </c>
      <c r="E10" s="4">
        <v>0.03</v>
      </c>
      <c r="F10" s="4">
        <v>0.03</v>
      </c>
      <c r="G10" s="4">
        <v>0.03</v>
      </c>
      <c r="H10" s="4">
        <v>0.05</v>
      </c>
      <c r="I10" s="4">
        <v>0.06</v>
      </c>
      <c r="J10" s="4">
        <v>0.08</v>
      </c>
      <c r="K10" s="4">
        <v>0.09</v>
      </c>
      <c r="L10" s="4">
        <v>0.11</v>
      </c>
      <c r="M10" s="4">
        <v>0.13</v>
      </c>
    </row>
    <row r="11" spans="3:13" x14ac:dyDescent="0.2">
      <c r="C11" s="2" t="s">
        <v>15</v>
      </c>
      <c r="D11" s="5">
        <v>0</v>
      </c>
      <c r="E11" s="5">
        <v>0</v>
      </c>
      <c r="F11" s="4">
        <v>0.03</v>
      </c>
      <c r="G11" s="4">
        <v>0.04</v>
      </c>
      <c r="H11" s="4">
        <v>0.05</v>
      </c>
      <c r="I11" s="4">
        <v>0.06</v>
      </c>
      <c r="J11" s="4">
        <v>0.06</v>
      </c>
      <c r="K11" s="4">
        <v>7.0000000000000007E-2</v>
      </c>
      <c r="L11" s="4">
        <v>0.08</v>
      </c>
      <c r="M11" s="4">
        <v>0.1</v>
      </c>
    </row>
    <row r="12" spans="3:13" x14ac:dyDescent="0.2">
      <c r="C12" s="2" t="s">
        <v>16</v>
      </c>
      <c r="D12" s="5">
        <v>0</v>
      </c>
      <c r="E12" s="5">
        <v>0</v>
      </c>
      <c r="F12" s="4">
        <v>0.03</v>
      </c>
      <c r="G12" s="4">
        <v>0.04</v>
      </c>
      <c r="H12" s="4">
        <v>0.05</v>
      </c>
      <c r="I12" s="4">
        <v>0.05</v>
      </c>
      <c r="J12" s="4">
        <v>0.06</v>
      </c>
      <c r="K12" s="4">
        <v>7.0000000000000007E-2</v>
      </c>
      <c r="L12" s="4">
        <v>0.08</v>
      </c>
      <c r="M12" s="4">
        <v>0.09</v>
      </c>
    </row>
    <row r="13" spans="3:13" x14ac:dyDescent="0.2">
      <c r="C13" s="1" t="s">
        <v>17</v>
      </c>
      <c r="D13" s="3">
        <v>0.91</v>
      </c>
      <c r="E13" s="3">
        <v>0.82</v>
      </c>
      <c r="F13" s="3">
        <v>0.73</v>
      </c>
      <c r="G13" s="3">
        <v>0.64</v>
      </c>
      <c r="H13" s="3">
        <v>0.55000000000000004</v>
      </c>
      <c r="I13" s="3">
        <v>0.46</v>
      </c>
      <c r="J13" s="3">
        <v>0.37</v>
      </c>
      <c r="K13" s="3">
        <v>0.28000000000000003</v>
      </c>
      <c r="L13" s="3">
        <v>0.19</v>
      </c>
      <c r="M13" s="3">
        <v>0.1</v>
      </c>
    </row>
    <row r="14" spans="3:13" x14ac:dyDescent="0.2">
      <c r="C14" s="2" t="s">
        <v>18</v>
      </c>
      <c r="D14" s="4">
        <v>0.18</v>
      </c>
      <c r="E14" s="4">
        <v>0.15</v>
      </c>
      <c r="F14" s="4">
        <v>0.13</v>
      </c>
      <c r="G14" s="4">
        <v>0.12</v>
      </c>
      <c r="H14" s="4">
        <v>0.1</v>
      </c>
      <c r="I14" s="4">
        <v>0.08</v>
      </c>
      <c r="J14" s="4">
        <v>7.0000000000000007E-2</v>
      </c>
      <c r="K14" s="4">
        <v>0.05</v>
      </c>
      <c r="L14" s="4">
        <v>0.03</v>
      </c>
      <c r="M14" s="4">
        <v>0.03</v>
      </c>
    </row>
    <row r="15" spans="3:13" x14ac:dyDescent="0.2">
      <c r="C15" s="2" t="s">
        <v>19</v>
      </c>
      <c r="D15" s="4">
        <v>0.25</v>
      </c>
      <c r="E15" s="4">
        <v>0.22</v>
      </c>
      <c r="F15" s="4">
        <v>0.2</v>
      </c>
      <c r="G15" s="4">
        <v>0.17</v>
      </c>
      <c r="H15" s="4">
        <v>0.15</v>
      </c>
      <c r="I15" s="4">
        <v>0.12</v>
      </c>
      <c r="J15" s="4">
        <v>0.1</v>
      </c>
      <c r="K15" s="4">
        <v>0.08</v>
      </c>
      <c r="L15" s="4">
        <v>0.05</v>
      </c>
      <c r="M15" s="4">
        <v>0.04</v>
      </c>
    </row>
    <row r="16" spans="3:13" x14ac:dyDescent="0.2">
      <c r="C16" s="2" t="s">
        <v>20</v>
      </c>
      <c r="D16" s="4">
        <v>0.09</v>
      </c>
      <c r="E16" s="4">
        <v>0.08</v>
      </c>
      <c r="F16" s="4">
        <v>7.0000000000000007E-2</v>
      </c>
      <c r="G16" s="4">
        <v>0.06</v>
      </c>
      <c r="H16" s="4">
        <v>0.05</v>
      </c>
      <c r="I16" s="4">
        <v>0.05</v>
      </c>
      <c r="J16" s="4">
        <v>0.04</v>
      </c>
      <c r="K16" s="4">
        <v>0.03</v>
      </c>
      <c r="L16" s="4">
        <v>0.03</v>
      </c>
      <c r="M16" s="4">
        <v>0.03</v>
      </c>
    </row>
    <row r="17" spans="3:13" x14ac:dyDescent="0.2">
      <c r="C17" s="2" t="s">
        <v>21</v>
      </c>
      <c r="D17" s="4">
        <v>0.25</v>
      </c>
      <c r="E17" s="4">
        <v>0.22</v>
      </c>
      <c r="F17" s="4">
        <v>0.2</v>
      </c>
      <c r="G17" s="4">
        <v>0.17</v>
      </c>
      <c r="H17" s="4">
        <v>0.15</v>
      </c>
      <c r="I17" s="4">
        <v>0.13</v>
      </c>
      <c r="J17" s="4">
        <v>0.1</v>
      </c>
      <c r="K17" s="4">
        <v>7.0000000000000007E-2</v>
      </c>
      <c r="L17" s="4">
        <v>0.05</v>
      </c>
      <c r="M17" s="5">
        <v>0</v>
      </c>
    </row>
    <row r="18" spans="3:13" x14ac:dyDescent="0.2">
      <c r="C18" s="2" t="s">
        <v>22</v>
      </c>
      <c r="D18" s="4">
        <v>0.14000000000000001</v>
      </c>
      <c r="E18" s="4">
        <v>0.15</v>
      </c>
      <c r="F18" s="4">
        <v>0.13</v>
      </c>
      <c r="G18" s="4">
        <v>0.12</v>
      </c>
      <c r="H18" s="4">
        <v>0.1</v>
      </c>
      <c r="I18" s="4">
        <v>0.08</v>
      </c>
      <c r="J18" s="4">
        <v>0.06</v>
      </c>
      <c r="K18" s="4">
        <v>0.05</v>
      </c>
      <c r="L18" s="4">
        <v>0.03</v>
      </c>
      <c r="M18" s="5">
        <v>0</v>
      </c>
    </row>
    <row r="19" spans="3:13" x14ac:dyDescent="0.2">
      <c r="C19" s="1" t="s">
        <v>23</v>
      </c>
      <c r="D19" s="3">
        <v>3.6000000000000004E-2</v>
      </c>
      <c r="E19" s="3">
        <v>3.9E-2</v>
      </c>
      <c r="F19" s="3">
        <v>4.2000000000000003E-2</v>
      </c>
      <c r="G19" s="3">
        <v>4.4999999999999998E-2</v>
      </c>
      <c r="H19" s="3">
        <v>4.8000000000000001E-2</v>
      </c>
      <c r="I19" s="3">
        <v>5.0999999999999997E-2</v>
      </c>
      <c r="J19" s="3">
        <v>5.4000000000000006E-2</v>
      </c>
      <c r="K19" s="3">
        <v>5.7000000000000002E-2</v>
      </c>
      <c r="L19" s="3">
        <v>6.0999999999999999E-2</v>
      </c>
      <c r="M19" s="3">
        <v>6.4000000000000001E-2</v>
      </c>
    </row>
    <row r="20" spans="3:13" x14ac:dyDescent="0.2">
      <c r="C20" s="1"/>
      <c r="D20" s="3"/>
      <c r="E20" s="3"/>
      <c r="F20" s="3"/>
      <c r="G20" s="3"/>
      <c r="H20" s="3"/>
      <c r="I20" s="3"/>
      <c r="J20" s="3"/>
      <c r="K20" s="3"/>
      <c r="L20" s="3"/>
      <c r="M20" s="6"/>
    </row>
    <row r="22" spans="3:13" x14ac:dyDescent="0.2">
      <c r="C22" s="1"/>
    </row>
    <row r="23" spans="3:13" x14ac:dyDescent="0.2">
      <c r="C23" s="2"/>
    </row>
    <row r="24" spans="3:13" x14ac:dyDescent="0.2">
      <c r="C24" s="2"/>
    </row>
    <row r="25" spans="3:13" x14ac:dyDescent="0.2">
      <c r="C25" s="2"/>
    </row>
    <row r="26" spans="3:13" x14ac:dyDescent="0.2">
      <c r="C26" s="2"/>
    </row>
    <row r="27" spans="3:13" x14ac:dyDescent="0.2">
      <c r="C27" s="2"/>
    </row>
    <row r="28" spans="3:13" x14ac:dyDescent="0.2">
      <c r="C28" s="1"/>
    </row>
    <row r="29" spans="3:13" x14ac:dyDescent="0.2">
      <c r="C29" s="2"/>
    </row>
    <row r="30" spans="3:13" x14ac:dyDescent="0.2">
      <c r="C30" s="2"/>
    </row>
    <row r="31" spans="3:13" x14ac:dyDescent="0.2">
      <c r="C31" s="2"/>
    </row>
    <row r="32" spans="3:13" x14ac:dyDescent="0.2">
      <c r="C32" s="2"/>
    </row>
    <row r="33" spans="3:3" x14ac:dyDescent="0.2">
      <c r="C33" s="2"/>
    </row>
    <row r="34" spans="3:3" x14ac:dyDescent="0.2">
      <c r="C34" s="1"/>
    </row>
    <row r="35" spans="3:3" x14ac:dyDescent="0.2">
      <c r="C35" s="1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4152F355FAF447BB1CE591321ADE32" ma:contentTypeVersion="16" ma:contentTypeDescription="Crear nuevo documento." ma:contentTypeScope="" ma:versionID="7d9c01b133e71c6915acd6e4245566d5">
  <xsd:schema xmlns:xsd="http://www.w3.org/2001/XMLSchema" xmlns:xs="http://www.w3.org/2001/XMLSchema" xmlns:p="http://schemas.microsoft.com/office/2006/metadata/properties" xmlns:ns2="0d9e31fb-35e4-4717-90e2-4eaa81687a17" xmlns:ns3="43cc5759-231a-4676-b73e-2e7a73e479f9" targetNamespace="http://schemas.microsoft.com/office/2006/metadata/properties" ma:root="true" ma:fieldsID="9ee571a05595982bd5dcbee0ccb9ff77" ns2:_="" ns3:_="">
    <xsd:import namespace="0d9e31fb-35e4-4717-90e2-4eaa81687a17"/>
    <xsd:import namespace="43cc5759-231a-4676-b73e-2e7a73e479f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9e31fb-35e4-4717-90e2-4eaa81687a1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7b2f828a-5f69-46b5-91eb-358cd9840b0c}" ma:internalName="TaxCatchAll" ma:showField="CatchAllData" ma:web="0d9e31fb-35e4-4717-90e2-4eaa81687a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3cc5759-231a-4676-b73e-2e7a73e479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d7d3cde9-e5b8-4764-a5d6-fdb3cbd012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07C111-92EC-4FEB-9EC2-38532EAC97A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53CCAC8-C732-4F45-AA79-5AB04CBF35D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d9e31fb-35e4-4717-90e2-4eaa81687a17"/>
    <ds:schemaRef ds:uri="43cc5759-231a-4676-b73e-2e7a73e479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CARTERA PRO</vt:lpstr>
      <vt:lpstr>CARTERA BASIC</vt:lpstr>
      <vt:lpstr>Carteras indexa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MIRA</dc:creator>
  <cp:lastModifiedBy>PABLO MIRA</cp:lastModifiedBy>
  <dcterms:created xsi:type="dcterms:W3CDTF">2023-10-05T09:52:42Z</dcterms:created>
  <dcterms:modified xsi:type="dcterms:W3CDTF">2023-10-10T10:38:07Z</dcterms:modified>
</cp:coreProperties>
</file>